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870" windowWidth="19440" windowHeight="6450" tabRatio="817"/>
  </bookViews>
  <sheets>
    <sheet name="Регион ФФПП 2023" sheetId="115" r:id="rId1"/>
    <sheet name="ИНП2023" sheetId="61" r:id="rId2"/>
    <sheet name="ИБР2023" sheetId="94" r:id="rId3"/>
  </sheets>
  <definedNames>
    <definedName name="_xlnm.Print_Titles" localSheetId="2">ИБР2023!$A:$B</definedName>
    <definedName name="_xlnm.Print_Titles" localSheetId="1">ИНП2023!$A:$B,ИНП2023!$3:$8</definedName>
    <definedName name="_xlnm.Print_Titles" localSheetId="0">'Регион ФФПП 2023'!$A:$B</definedName>
    <definedName name="_xlnm.Print_Area" localSheetId="2">ИБР2023!$A$1:$AR$20</definedName>
    <definedName name="_xlnm.Print_Area" localSheetId="1">ИНП2023!$A$1:$U$20</definedName>
    <definedName name="_xlnm.Print_Area" localSheetId="0">'Регион ФФПП 2023'!$A$1:$O$20</definedName>
  </definedNames>
  <calcPr calcId="145621" refMode="R1C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7" i="115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L11" i="115" l="1"/>
  <c r="AI11" i="94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6" i="115"/>
  <c r="L19" i="115"/>
  <c r="L15" i="115"/>
  <c r="L18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<sst xmlns="http://schemas.openxmlformats.org/spreadsheetml/2006/main" count="295" uniqueCount="163">
  <si>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</si>
  <si>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</si>
  <si>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</si>
  <si>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</si>
  <si>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</si>
  <si>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</si>
  <si>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</si>
  <si>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</si>
  <si>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</si>
  <si>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</si>
  <si>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</si>
  <si>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</si>
  <si>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</si>
  <si>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</si>
  <si>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</si>
  <si>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</si>
  <si>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</si>
  <si>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</si>
  <si>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</si>
  <si>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</si>
  <si>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</si>
  <si>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</si>
  <si>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</si>
  <si>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</si>
  <si>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</si>
  <si>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</si>
  <si>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</si>
  <si>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</si>
  <si>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</si>
  <si>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</si>
  <si>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</si>
  <si>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</si>
  <si>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</si>
  <si>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</si>
  <si>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</si>
  <si>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</si>
  <si>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</si>
  <si>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</si>
  <si>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</si>
  <si>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</si>
  <si>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</si>
  <si>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</si>
  <si>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</si>
  <si>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</si>
  <si>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</si>
  <si>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</si>
  <si>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</si>
  <si>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</si>
  <si>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</si>
  <si>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</si>
  <si>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</si>
  <si>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</si>
  <si>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</si>
  <si>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</si>
  <si>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</si>
  <si>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</si>
  <si>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</si>
  <si>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</si>
  <si>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</si>
  <si>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</si>
  <si>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</si>
  <si>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</si>
  <si>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</si>
  <si>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</si>
  <si>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</si>
  <si>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</si>
  <si>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</si>
  <si>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</si>
  <si>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</si>
  <si>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</si>
  <si>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</si>
  <si>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</si>
  <si>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</si>
  <si>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</si>
  <si>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</si>
  <si>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</si>
  <si>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</si>
  <si>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</si>
  <si>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</si>
  <si>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</si>
  <si>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</si>
  <si>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</si>
  <si>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</si>
  <si>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</si>
  <si>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</si>
  <si>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</si>
  <si>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</si>
  <si>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</si>
  <si>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</si>
  <si>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</si>
  <si>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</si>
  <si>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</si>
  <si>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</si>
  <si>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</si>
  <si>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</si>
  <si>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</si>
  <si>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</si>
  <si>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</si>
  <si>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</si>
  <si>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</si>
  <si>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</si>
  <si>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</si>
  <si>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</si>
  <si>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</si>
  <si>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</si>
  <si>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</si>
  <si>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</si>
  <si>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</si>
  <si>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</si>
  <si>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</si>
  <si>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</si>
  <si>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</si>
  <si>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</si>
  <si>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</si>
  <si>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</si>
  <si>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</si>
  <si>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</si>
  <si>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</si>
  <si>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</si>
  <si>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</si>
  <si>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</si>
  <si>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</si>
  <si>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</si>
  <si>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</si>
  <si>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</si>
  <si>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</si>
  <si>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</si>
  <si>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</si>
  <si>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</si>
  <si>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</si>
  <si>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</si>
  <si>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</si>
  <si>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</si>
  <si>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</si>
  <si>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</si>
  <si>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</si>
  <si>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</si>
  <si>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</si>
  <si>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</si>
  <si>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</si>
  <si>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</si>
  <si>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</si>
  <si>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</si>
  <si>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</si>
  <si>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</si>
  <si>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</si>
  <si>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</si>
  <si>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</si>
  <si>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</si>
  <si>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</si>
  <si>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</si>
  <si>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</si>
  <si>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</si>
  <si>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</si>
  <si>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Расходы на организацию строительства и содержание муниципального жилищного фонда</t>
  </si>
  <si>
    <t>)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</si>
  <si>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2023 год</t>
    </r>
  </si>
  <si>
    <t>РАСЧЕТ индекса бюджетных расходов на 2023 год</t>
  </si>
  <si>
    <t>Численность постоянного населения на 1.01.2021, чел.</t>
  </si>
  <si>
    <t>РАСЧЕТ индекса налогового потенциала на 2023  год</t>
  </si>
  <si>
    <t>Численность постоянного населения на 01.01.2021, чел.</t>
  </si>
  <si>
    <t>Численность постоянного населения на 01.01.2021 г., чел.</t>
  </si>
  <si>
    <t xml:space="preserve">Доля налога в оценке ФОТ (2021год)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</si>
</sst>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51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51" fillId="2" borderId="6" xfId="2" applyFont="1" applyFill="1" applyBorder="1" applyAlignment="1">
      <alignment horizontal="center" vertical="center" wrapText="1"/>
    </xf>
    <xf numFmtId="0" fontId="51" fillId="2" borderId="2" xfId="2" applyFont="1" applyFill="1" applyBorder="1" applyAlignment="1">
      <alignment horizontal="center" vertical="center" wrapText="1"/>
    </xf>
    <xf numFmtId="0" fontId="51" fillId="2" borderId="3" xfId="2" applyFont="1" applyFill="1" applyBorder="1" applyAlignment="1">
      <alignment horizontal="center" vertical="center" wrapText="1"/>
    </xf>
    <xf numFmtId="0" fontId="50" fillId="2" borderId="6" xfId="2" applyFont="1" applyFill="1" applyBorder="1" applyAlignment="1">
      <alignment horizontal="center" vertical="center" wrapText="1"/>
    </xf>
    <xf numFmtId="0" fontId="50" fillId="2" borderId="2" xfId="2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17" sqref="L17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7" t="s">
        <v>155</v>
      </c>
      <c r="B2" s="167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1.0232124986694493</v>
      </c>
      <c r="K2" s="90"/>
      <c r="L2" s="92">
        <v>1629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156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6" t="s">
        <v>1</v>
      </c>
      <c r="B7" s="166" t="s">
        <v>2</v>
      </c>
      <c r="C7" s="168" t="s">
        <v>161</v>
      </c>
      <c r="D7" s="166" t="s">
        <v>3</v>
      </c>
      <c r="E7" s="166" t="s">
        <v>22</v>
      </c>
      <c r="F7" s="166" t="s">
        <v>20</v>
      </c>
      <c r="G7" s="160" t="s">
        <v>23</v>
      </c>
      <c r="H7" s="166" t="s">
        <v>19</v>
      </c>
      <c r="I7" s="166" t="s">
        <v>100</v>
      </c>
      <c r="J7" s="166" t="s">
        <v>21</v>
      </c>
      <c r="K7" s="166" t="s">
        <v>97</v>
      </c>
      <c r="L7" s="10">
        <v>1</v>
      </c>
      <c r="M7" s="166" t="s">
        <v>138</v>
      </c>
      <c r="N7" s="160" t="s">
        <v>99</v>
      </c>
      <c r="O7" s="160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6"/>
      <c r="B8" s="166"/>
      <c r="C8" s="168"/>
      <c r="D8" s="166"/>
      <c r="E8" s="166"/>
      <c r="F8" s="166"/>
      <c r="G8" s="160"/>
      <c r="H8" s="166"/>
      <c r="I8" s="166"/>
      <c r="J8" s="166"/>
      <c r="K8" s="166"/>
      <c r="L8" s="160" t="s">
        <v>98</v>
      </c>
      <c r="M8" s="166"/>
      <c r="N8" s="160"/>
      <c r="O8" s="160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6"/>
      <c r="B9" s="166"/>
      <c r="C9" s="168"/>
      <c r="D9" s="166"/>
      <c r="E9" s="166"/>
      <c r="F9" s="166"/>
      <c r="G9" s="160"/>
      <c r="H9" s="166"/>
      <c r="I9" s="166"/>
      <c r="J9" s="166"/>
      <c r="K9" s="166"/>
      <c r="L9" s="161"/>
      <c r="M9" s="166"/>
      <c r="N9" s="160"/>
      <c r="O9" s="160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62" t="s">
        <v>41</v>
      </c>
      <c r="B10" s="163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64"/>
      <c r="B11" s="165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1629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5" t="s">
        <v>139</v>
      </c>
      <c r="C12" s="133">
        <v>13515</v>
      </c>
      <c r="D12" s="14">
        <f>ИНП2023!U9</f>
        <v>1.70305</v>
      </c>
      <c r="E12" s="14">
        <f>ИБР2023!AR9</f>
        <v>1.1441300000000001</v>
      </c>
      <c r="F12" s="16">
        <f>ИНП2023!T9</f>
        <v>48480</v>
      </c>
      <c r="G12" s="17">
        <f>F12/E12</f>
        <v>42372.807285885341</v>
      </c>
      <c r="H12" s="20">
        <f>F12/C12</f>
        <v>3.5871254162042177</v>
      </c>
      <c r="I12" s="13">
        <f>D12/E12</f>
        <v>1.4885109209617786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1.4885109209617786</v>
      </c>
      <c r="N12" s="118">
        <f>ROUND((G12+L12),1)</f>
        <v>42372.800000000003</v>
      </c>
      <c r="O12" s="120">
        <f>ROUND(N12/C12,3)</f>
        <v>3.1349999999999998</v>
      </c>
    </row>
    <row r="13" spans="1:32" s="7" customFormat="1" ht="16.5" x14ac:dyDescent="0.25">
      <c r="A13" s="107">
        <v>2</v>
      </c>
      <c r="B13" s="155" t="s">
        <v>140</v>
      </c>
      <c r="C13" s="133">
        <v>5536</v>
      </c>
      <c r="D13" s="14">
        <f>ИНП2023!U10</f>
        <v>0.57572999999999996</v>
      </c>
      <c r="E13" s="14">
        <f>ИБР2023!AR10</f>
        <v>1.60371</v>
      </c>
      <c r="F13" s="16">
        <f>ИНП2023!T10</f>
        <v>6713.3099999999995</v>
      </c>
      <c r="G13" s="17">
        <f t="shared" ref="G13:G19" si="2">F13/E13</f>
        <v>4186.1122023308453</v>
      </c>
      <c r="H13" s="20">
        <f t="shared" ref="H13:H19" si="3">F13/C13</f>
        <v>1.2126643786127167</v>
      </c>
      <c r="I13" s="13">
        <f t="shared" ref="I13:I19" si="4">D13/E13</f>
        <v>0.35899882148268702</v>
      </c>
      <c r="J13" s="115">
        <f t="shared" ref="J13:J19" si="5">IF(I13&lt;$J$2,$J$2*($J$2-I13)*E13*C13,0)</f>
        <v>6033.8647245088578</v>
      </c>
      <c r="K13" s="15">
        <f t="shared" si="0"/>
        <v>0.69048945943340112</v>
      </c>
      <c r="L13" s="118">
        <f t="shared" si="1"/>
        <v>1125</v>
      </c>
      <c r="M13" s="13">
        <f t="shared" ref="M13:M19" si="6">I13+L13/(C13*E13*$J$2)</f>
        <v>0.48283991188696873</v>
      </c>
      <c r="N13" s="118">
        <f t="shared" ref="N13:N19" si="7">ROUND((G13+L13),1)</f>
        <v>5311.1</v>
      </c>
      <c r="O13" s="158">
        <f t="shared" ref="O13:O19" si="8">ROUND(N13/C13,3)</f>
        <v>0.95899999999999996</v>
      </c>
    </row>
    <row r="14" spans="1:32" s="7" customFormat="1" ht="16.5" customHeight="1" x14ac:dyDescent="0.25">
      <c r="A14" s="107">
        <v>3</v>
      </c>
      <c r="B14" s="155" t="s">
        <v>141</v>
      </c>
      <c r="C14" s="133">
        <v>2525</v>
      </c>
      <c r="D14" s="14">
        <f>ИНП2023!U11</f>
        <v>0.19574</v>
      </c>
      <c r="E14" s="14">
        <f>ИБР2023!AR11</f>
        <v>0.62921000000000005</v>
      </c>
      <c r="F14" s="16">
        <f>ИНП2023!T11</f>
        <v>1041.02</v>
      </c>
      <c r="G14" s="17">
        <f t="shared" si="2"/>
        <v>1654.4873730551008</v>
      </c>
      <c r="H14" s="20">
        <f t="shared" si="3"/>
        <v>0.41228514851485148</v>
      </c>
      <c r="I14" s="13">
        <f t="shared" si="4"/>
        <v>0.31108850781138248</v>
      </c>
      <c r="J14" s="115">
        <f t="shared" si="5"/>
        <v>1157.6531349211866</v>
      </c>
      <c r="K14" s="15">
        <f t="shared" si="0"/>
        <v>0.1324768326502675</v>
      </c>
      <c r="L14" s="118">
        <f t="shared" si="1"/>
        <v>216</v>
      </c>
      <c r="M14" s="13">
        <f t="shared" si="6"/>
        <v>0.44395972578274351</v>
      </c>
      <c r="N14" s="118">
        <f t="shared" si="7"/>
        <v>1870.5</v>
      </c>
      <c r="O14" s="120">
        <f t="shared" si="8"/>
        <v>0.74099999999999999</v>
      </c>
    </row>
    <row r="15" spans="1:32" s="19" customFormat="1" ht="16.5" customHeight="1" x14ac:dyDescent="0.25">
      <c r="A15" s="108">
        <v>4</v>
      </c>
      <c r="B15" s="155" t="s">
        <v>142</v>
      </c>
      <c r="C15" s="133">
        <v>2885</v>
      </c>
      <c r="D15" s="14">
        <f>ИНП2023!U12</f>
        <v>0.54315999999999998</v>
      </c>
      <c r="E15" s="14">
        <f>ИБР2023!AR12</f>
        <v>0.62921000000000005</v>
      </c>
      <c r="F15" s="16">
        <f>ИНП2023!T12</f>
        <v>3300.63</v>
      </c>
      <c r="G15" s="26">
        <f t="shared" si="2"/>
        <v>5245.6731456906273</v>
      </c>
      <c r="H15" s="27">
        <f t="shared" si="3"/>
        <v>1.1440658578856153</v>
      </c>
      <c r="I15" s="28">
        <f t="shared" si="4"/>
        <v>0.86324120722811137</v>
      </c>
      <c r="J15" s="115">
        <f t="shared" si="5"/>
        <v>297.13192804902769</v>
      </c>
      <c r="K15" s="15">
        <f t="shared" si="0"/>
        <v>3.4002496533542592E-2</v>
      </c>
      <c r="L15" s="119">
        <f t="shared" si="1"/>
        <v>55</v>
      </c>
      <c r="M15" s="13">
        <f t="shared" si="6"/>
        <v>0.89285236711605787</v>
      </c>
      <c r="N15" s="118">
        <f t="shared" si="7"/>
        <v>5300.7</v>
      </c>
      <c r="O15" s="120">
        <f t="shared" si="8"/>
        <v>1.837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5" t="s">
        <v>143</v>
      </c>
      <c r="C16" s="133">
        <v>2030</v>
      </c>
      <c r="D16" s="14">
        <f>ИНП2023!U13</f>
        <v>0.58765999999999996</v>
      </c>
      <c r="E16" s="14">
        <f>ИБР2023!AR13</f>
        <v>0.62921000000000005</v>
      </c>
      <c r="F16" s="16">
        <f>ИНП2023!T13</f>
        <v>2512.69</v>
      </c>
      <c r="G16" s="26">
        <f t="shared" si="2"/>
        <v>3993.4044277745106</v>
      </c>
      <c r="H16" s="27">
        <f t="shared" si="3"/>
        <v>1.2377783251231527</v>
      </c>
      <c r="I16" s="28">
        <f t="shared" si="4"/>
        <v>0.93396481301950052</v>
      </c>
      <c r="J16" s="115">
        <f t="shared" si="5"/>
        <v>116.6418645963093</v>
      </c>
      <c r="K16" s="15">
        <f t="shared" si="0"/>
        <v>1.3347991993467393E-2</v>
      </c>
      <c r="L16" s="119">
        <f t="shared" si="1"/>
        <v>22</v>
      </c>
      <c r="M16" s="13">
        <f t="shared" si="6"/>
        <v>0.95079795514299326</v>
      </c>
      <c r="N16" s="118">
        <f t="shared" si="7"/>
        <v>4015.4</v>
      </c>
      <c r="O16" s="120">
        <f t="shared" si="8"/>
        <v>1.978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5" t="s">
        <v>144</v>
      </c>
      <c r="C17" s="133">
        <v>2902</v>
      </c>
      <c r="D17" s="14">
        <f>ИНП2023!U14</f>
        <v>0.28820000000000001</v>
      </c>
      <c r="E17" s="14">
        <f>ИБР2023!AR14</f>
        <v>0.62921000000000005</v>
      </c>
      <c r="F17" s="16">
        <f>ИНП2023!T14</f>
        <v>1761.63</v>
      </c>
      <c r="G17" s="26">
        <f t="shared" si="2"/>
        <v>2799.7488914670776</v>
      </c>
      <c r="H17" s="27">
        <f t="shared" si="3"/>
        <v>0.60703997243280505</v>
      </c>
      <c r="I17" s="28">
        <f t="shared" si="4"/>
        <v>0.45803467840625545</v>
      </c>
      <c r="J17" s="115">
        <f t="shared" si="5"/>
        <v>1055.9514987299906</v>
      </c>
      <c r="K17" s="15">
        <f t="shared" si="0"/>
        <v>0.12083853596921827</v>
      </c>
      <c r="L17" s="119">
        <f t="shared" si="1"/>
        <v>197</v>
      </c>
      <c r="M17" s="13">
        <f t="shared" si="6"/>
        <v>0.56347515623668576</v>
      </c>
      <c r="N17" s="118">
        <f t="shared" si="7"/>
        <v>2996.7</v>
      </c>
      <c r="O17" s="120">
        <f t="shared" si="8"/>
        <v>1.0329999999999999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5" t="s">
        <v>145</v>
      </c>
      <c r="C18" s="133">
        <v>1393</v>
      </c>
      <c r="D18" s="14">
        <f>ИНП2023!U15</f>
        <v>0.58958999999999995</v>
      </c>
      <c r="E18" s="14">
        <f>ИБР2023!AR15</f>
        <v>0.62921000000000005</v>
      </c>
      <c r="F18" s="16">
        <f>ИНП2023!T15</f>
        <v>1729.91</v>
      </c>
      <c r="G18" s="26">
        <f t="shared" si="2"/>
        <v>2749.3364695411706</v>
      </c>
      <c r="H18" s="27">
        <f t="shared" si="3"/>
        <v>1.2418592964824122</v>
      </c>
      <c r="I18" s="28">
        <f t="shared" si="4"/>
        <v>0.93703215142798102</v>
      </c>
      <c r="J18" s="115">
        <f t="shared" si="5"/>
        <v>77.289555342091987</v>
      </c>
      <c r="K18" s="15">
        <f t="shared" si="0"/>
        <v>8.844683420103196E-3</v>
      </c>
      <c r="L18" s="119">
        <f t="shared" si="1"/>
        <v>14</v>
      </c>
      <c r="M18" s="13">
        <f t="shared" si="6"/>
        <v>0.95264260300892678</v>
      </c>
      <c r="N18" s="118">
        <f t="shared" si="7"/>
        <v>2763.3</v>
      </c>
      <c r="O18" s="120">
        <f t="shared" si="8"/>
        <v>1.984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5" t="s">
        <v>146</v>
      </c>
      <c r="C19" s="133">
        <v>2532</v>
      </c>
      <c r="D19" s="14">
        <f>ИНП2023!U16</f>
        <v>0.86975000000000002</v>
      </c>
      <c r="E19" s="14">
        <f>ИБР2023!AR16</f>
        <v>0.62921000000000005</v>
      </c>
      <c r="F19" s="16">
        <f>ИНП2023!T16</f>
        <v>4638.5200000000004</v>
      </c>
      <c r="G19" s="26">
        <f t="shared" si="2"/>
        <v>7371.9743805724638</v>
      </c>
      <c r="H19" s="27">
        <f t="shared" si="3"/>
        <v>1.8319589257503952</v>
      </c>
      <c r="I19" s="28">
        <f t="shared" si="4"/>
        <v>1.3822889019564215</v>
      </c>
      <c r="J19" s="115">
        <f t="shared" si="5"/>
        <v>0</v>
      </c>
      <c r="K19" s="15">
        <f t="shared" si="0"/>
        <v>0</v>
      </c>
      <c r="L19" s="119">
        <f t="shared" si="1"/>
        <v>0</v>
      </c>
      <c r="M19" s="13">
        <f t="shared" si="6"/>
        <v>1.3822889019564215</v>
      </c>
      <c r="N19" s="118">
        <f t="shared" si="7"/>
        <v>7372</v>
      </c>
      <c r="O19" s="120">
        <f t="shared" si="8"/>
        <v>2.9119999999999999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59" t="s">
        <v>0</v>
      </c>
      <c r="B20" s="159"/>
      <c r="C20" s="134">
        <f>SUM(C12:C19)</f>
        <v>33318</v>
      </c>
      <c r="D20" s="117">
        <f>ИНП2023!U20</f>
        <v>1</v>
      </c>
      <c r="E20" s="117">
        <f>ИБР2023!AR20</f>
        <v>1</v>
      </c>
      <c r="F20" s="22">
        <f>SUM(F12:F19)</f>
        <v>70177.709999999992</v>
      </c>
      <c r="G20" s="22">
        <f>SUM(G12:G19)</f>
        <v>70373.54417631714</v>
      </c>
      <c r="H20" s="24">
        <f>AVERAGE(H12:H19)</f>
        <v>1.409347165125771</v>
      </c>
      <c r="I20" s="23">
        <f>AVERAGE(I12:I19)</f>
        <v>0.8416450002867647</v>
      </c>
      <c r="J20" s="22">
        <f>SUM(J12:J19)</f>
        <v>8738.5327061474636</v>
      </c>
      <c r="K20" s="116">
        <f>SUM(K12:K19)</f>
        <v>1</v>
      </c>
      <c r="L20" s="22">
        <f>SUM(L12:L19)</f>
        <v>1629</v>
      </c>
      <c r="M20" s="23">
        <f>AVERAGE(M12:M19)</f>
        <v>0.89467094276157222</v>
      </c>
      <c r="N20" s="22">
        <f>SUM(N12:N19)</f>
        <v>72002.5</v>
      </c>
      <c r="O20" s="23">
        <f>AVERAGE(O12:O19)</f>
        <v>1.8223749999999996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Q9" sqref="Q9:Q1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159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6" t="s">
        <v>1</v>
      </c>
      <c r="B4" s="166" t="s">
        <v>43</v>
      </c>
      <c r="C4" s="168" t="s">
        <v>160</v>
      </c>
      <c r="D4" s="170" t="s">
        <v>6</v>
      </c>
      <c r="E4" s="170"/>
      <c r="F4" s="170"/>
      <c r="G4" s="170"/>
      <c r="H4" s="170" t="s">
        <v>46</v>
      </c>
      <c r="I4" s="170"/>
      <c r="J4" s="170"/>
      <c r="K4" s="170"/>
      <c r="L4" s="170" t="s">
        <v>16</v>
      </c>
      <c r="M4" s="170"/>
      <c r="N4" s="170"/>
      <c r="O4" s="170"/>
      <c r="P4" s="170" t="s">
        <v>50</v>
      </c>
      <c r="Q4" s="170"/>
      <c r="R4" s="170"/>
      <c r="S4" s="170"/>
      <c r="T4" s="170" t="s">
        <v>14</v>
      </c>
      <c r="U4" s="170" t="s">
        <v>11</v>
      </c>
    </row>
    <row r="5" spans="1:23" ht="13.15" customHeight="1" x14ac:dyDescent="0.2">
      <c r="A5" s="166"/>
      <c r="B5" s="166"/>
      <c r="C5" s="168"/>
      <c r="D5" s="169" t="s">
        <v>33</v>
      </c>
      <c r="E5" s="169" t="s">
        <v>162</v>
      </c>
      <c r="F5" s="169" t="s">
        <v>44</v>
      </c>
      <c r="G5" s="170" t="s">
        <v>15</v>
      </c>
      <c r="H5" s="169" t="s">
        <v>47</v>
      </c>
      <c r="I5" s="166" t="s">
        <v>52</v>
      </c>
      <c r="J5" s="169" t="s">
        <v>44</v>
      </c>
      <c r="K5" s="170" t="s">
        <v>15</v>
      </c>
      <c r="L5" s="169" t="s">
        <v>48</v>
      </c>
      <c r="M5" s="169" t="s">
        <v>35</v>
      </c>
      <c r="N5" s="169" t="s">
        <v>49</v>
      </c>
      <c r="O5" s="170" t="s">
        <v>15</v>
      </c>
      <c r="P5" s="174" t="s">
        <v>47</v>
      </c>
      <c r="Q5" s="166" t="s">
        <v>51</v>
      </c>
      <c r="R5" s="169" t="s">
        <v>49</v>
      </c>
      <c r="S5" s="170" t="s">
        <v>15</v>
      </c>
      <c r="T5" s="170"/>
      <c r="U5" s="170"/>
    </row>
    <row r="6" spans="1:23" ht="84" customHeight="1" x14ac:dyDescent="0.2">
      <c r="A6" s="166"/>
      <c r="B6" s="166"/>
      <c r="C6" s="168"/>
      <c r="D6" s="169"/>
      <c r="E6" s="169"/>
      <c r="F6" s="169"/>
      <c r="G6" s="170"/>
      <c r="H6" s="169"/>
      <c r="I6" s="166"/>
      <c r="J6" s="169"/>
      <c r="K6" s="170"/>
      <c r="L6" s="169"/>
      <c r="M6" s="169"/>
      <c r="N6" s="169"/>
      <c r="O6" s="170"/>
      <c r="P6" s="174"/>
      <c r="Q6" s="166"/>
      <c r="R6" s="169"/>
      <c r="S6" s="170"/>
      <c r="T6" s="170"/>
      <c r="U6" s="170"/>
    </row>
    <row r="7" spans="1:23" s="25" customFormat="1" ht="28.5" customHeight="1" x14ac:dyDescent="0.2">
      <c r="A7" s="173" t="s">
        <v>41</v>
      </c>
      <c r="B7" s="173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2"/>
      <c r="B8" s="172"/>
      <c r="C8" s="138" t="s">
        <v>40</v>
      </c>
      <c r="D8" s="40"/>
      <c r="E8" s="138"/>
      <c r="F8" s="138" t="s">
        <v>34</v>
      </c>
      <c r="G8" s="40"/>
      <c r="H8" s="40"/>
      <c r="I8" s="40"/>
      <c r="J8" s="138" t="s">
        <v>34</v>
      </c>
      <c r="K8" s="29"/>
      <c r="L8" s="40"/>
      <c r="M8" s="138" t="s">
        <v>34</v>
      </c>
      <c r="N8" s="138" t="s">
        <v>34</v>
      </c>
      <c r="O8" s="40"/>
      <c r="P8" s="40"/>
      <c r="Q8" s="40"/>
      <c r="R8" s="138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55" t="s">
        <v>139</v>
      </c>
      <c r="C9" s="133">
        <v>13515</v>
      </c>
      <c r="D9" s="32">
        <v>1622295</v>
      </c>
      <c r="E9" s="34">
        <v>0.127</v>
      </c>
      <c r="F9" s="33">
        <v>0.1</v>
      </c>
      <c r="G9" s="35">
        <f>ROUND(D9*F9*E9,0)</f>
        <v>20603</v>
      </c>
      <c r="H9" s="41">
        <v>9026</v>
      </c>
      <c r="I9" s="41">
        <v>0</v>
      </c>
      <c r="J9" s="33">
        <v>1</v>
      </c>
      <c r="K9" s="35">
        <f>ROUND((H9+I9)*J9,0)</f>
        <v>9026</v>
      </c>
      <c r="L9" s="41">
        <v>797</v>
      </c>
      <c r="M9" s="33">
        <v>0.06</v>
      </c>
      <c r="N9" s="33">
        <v>0.5</v>
      </c>
      <c r="O9" s="35">
        <f>ROUND(L9*M9*N9,0)</f>
        <v>24</v>
      </c>
      <c r="P9" s="35">
        <v>14533</v>
      </c>
      <c r="Q9" s="35">
        <v>4294</v>
      </c>
      <c r="R9" s="33">
        <v>1</v>
      </c>
      <c r="S9" s="35">
        <f>ROUND((P9+Q9)*R9,0)</f>
        <v>18827</v>
      </c>
      <c r="T9" s="35">
        <f>G9+K9+O9+S9</f>
        <v>48480</v>
      </c>
      <c r="U9" s="36">
        <f t="shared" ref="U9:U16" si="0">ROUND((T9/C9)/($T$20/$C$20),5)</f>
        <v>1.70305</v>
      </c>
      <c r="V9" s="37"/>
      <c r="W9" s="38"/>
    </row>
    <row r="10" spans="1:23" s="25" customFormat="1" ht="16.5" x14ac:dyDescent="0.25">
      <c r="A10" s="31" t="s">
        <v>24</v>
      </c>
      <c r="B10" s="155" t="s">
        <v>140</v>
      </c>
      <c r="C10" s="133">
        <v>5536</v>
      </c>
      <c r="D10" s="32">
        <v>240360</v>
      </c>
      <c r="E10" s="34">
        <v>0.13089999999999999</v>
      </c>
      <c r="F10" s="33">
        <v>0.1</v>
      </c>
      <c r="G10" s="35">
        <f t="shared" ref="G10:G19" si="1">ROUND(D10*F10*E10,2)</f>
        <v>3146.31</v>
      </c>
      <c r="H10" s="41">
        <v>1026</v>
      </c>
      <c r="I10" s="41">
        <v>0</v>
      </c>
      <c r="J10" s="33">
        <v>1</v>
      </c>
      <c r="K10" s="35">
        <f t="shared" ref="K10:K19" si="2">ROUND((H10+I10)*J10,0)</f>
        <v>1026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35">
        <v>2541</v>
      </c>
      <c r="Q10" s="35">
        <v>0</v>
      </c>
      <c r="R10" s="33">
        <v>1</v>
      </c>
      <c r="S10" s="35">
        <f t="shared" ref="S10:S19" si="4">ROUND((P10+Q10)*R10,0)</f>
        <v>2541</v>
      </c>
      <c r="T10" s="35">
        <f t="shared" ref="T10:T19" si="5">G10+K10+O10+S10</f>
        <v>6713.3099999999995</v>
      </c>
      <c r="U10" s="36">
        <f t="shared" si="0"/>
        <v>0.57572999999999996</v>
      </c>
      <c r="V10" s="37"/>
      <c r="W10" s="38"/>
    </row>
    <row r="11" spans="1:23" s="25" customFormat="1" ht="16.5" x14ac:dyDescent="0.25">
      <c r="A11" s="31" t="s">
        <v>27</v>
      </c>
      <c r="B11" s="155" t="s">
        <v>141</v>
      </c>
      <c r="C11" s="133">
        <v>2525</v>
      </c>
      <c r="D11" s="32">
        <v>17635</v>
      </c>
      <c r="E11" s="34">
        <v>0.1163</v>
      </c>
      <c r="F11" s="33">
        <v>0.02</v>
      </c>
      <c r="G11" s="35">
        <f t="shared" si="1"/>
        <v>41.02</v>
      </c>
      <c r="H11" s="41">
        <v>200</v>
      </c>
      <c r="I11" s="41">
        <v>0</v>
      </c>
      <c r="J11" s="33">
        <v>1</v>
      </c>
      <c r="K11" s="35">
        <f t="shared" si="2"/>
        <v>200</v>
      </c>
      <c r="L11" s="41">
        <v>2548</v>
      </c>
      <c r="M11" s="33">
        <v>0.06</v>
      </c>
      <c r="N11" s="33">
        <v>0.3</v>
      </c>
      <c r="O11" s="35">
        <f t="shared" si="3"/>
        <v>46</v>
      </c>
      <c r="P11" s="35">
        <v>754</v>
      </c>
      <c r="Q11" s="35">
        <v>0</v>
      </c>
      <c r="R11" s="33">
        <v>1</v>
      </c>
      <c r="S11" s="35">
        <f t="shared" si="4"/>
        <v>754</v>
      </c>
      <c r="T11" s="35">
        <f t="shared" si="5"/>
        <v>1041.02</v>
      </c>
      <c r="U11" s="36">
        <f t="shared" si="0"/>
        <v>0.19574</v>
      </c>
      <c r="V11" s="37"/>
      <c r="W11" s="38"/>
    </row>
    <row r="12" spans="1:23" s="25" customFormat="1" ht="16.5" x14ac:dyDescent="0.25">
      <c r="A12" s="31" t="s">
        <v>25</v>
      </c>
      <c r="B12" s="155" t="s">
        <v>142</v>
      </c>
      <c r="C12" s="133">
        <v>2885</v>
      </c>
      <c r="D12" s="32">
        <v>66070</v>
      </c>
      <c r="E12" s="34">
        <v>0.13139999999999999</v>
      </c>
      <c r="F12" s="33">
        <v>0.02</v>
      </c>
      <c r="G12" s="35">
        <f t="shared" si="1"/>
        <v>173.63</v>
      </c>
      <c r="H12" s="41">
        <v>153</v>
      </c>
      <c r="I12" s="41">
        <v>0</v>
      </c>
      <c r="J12" s="33">
        <v>1</v>
      </c>
      <c r="K12" s="35">
        <f t="shared" si="2"/>
        <v>153</v>
      </c>
      <c r="L12" s="41">
        <v>1907</v>
      </c>
      <c r="M12" s="33">
        <v>0.06</v>
      </c>
      <c r="N12" s="33">
        <v>0.3</v>
      </c>
      <c r="O12" s="35">
        <f t="shared" si="3"/>
        <v>34</v>
      </c>
      <c r="P12" s="35">
        <v>1769</v>
      </c>
      <c r="Q12" s="35">
        <v>1171</v>
      </c>
      <c r="R12" s="33">
        <v>1</v>
      </c>
      <c r="S12" s="35">
        <f t="shared" si="4"/>
        <v>2940</v>
      </c>
      <c r="T12" s="35">
        <f t="shared" si="5"/>
        <v>3300.63</v>
      </c>
      <c r="U12" s="36">
        <f t="shared" si="0"/>
        <v>0.54315999999999998</v>
      </c>
      <c r="V12" s="37"/>
      <c r="W12" s="38"/>
    </row>
    <row r="13" spans="1:23" s="25" customFormat="1" ht="16.5" x14ac:dyDescent="0.25">
      <c r="A13" s="31" t="s">
        <v>29</v>
      </c>
      <c r="B13" s="155" t="s">
        <v>143</v>
      </c>
      <c r="C13" s="133">
        <v>2030</v>
      </c>
      <c r="D13" s="32">
        <v>71550</v>
      </c>
      <c r="E13" s="34">
        <v>0.1668</v>
      </c>
      <c r="F13" s="33">
        <v>0.02</v>
      </c>
      <c r="G13" s="35">
        <f t="shared" si="1"/>
        <v>238.69</v>
      </c>
      <c r="H13" s="41">
        <v>106</v>
      </c>
      <c r="I13" s="41">
        <v>0</v>
      </c>
      <c r="J13" s="33">
        <v>1</v>
      </c>
      <c r="K13" s="35">
        <f t="shared" si="2"/>
        <v>106</v>
      </c>
      <c r="L13" s="41">
        <v>346</v>
      </c>
      <c r="M13" s="33">
        <v>0.06</v>
      </c>
      <c r="N13" s="33">
        <v>0.3</v>
      </c>
      <c r="O13" s="35">
        <f t="shared" si="3"/>
        <v>6</v>
      </c>
      <c r="P13" s="35">
        <v>1533</v>
      </c>
      <c r="Q13" s="35">
        <v>629</v>
      </c>
      <c r="R13" s="33">
        <v>1</v>
      </c>
      <c r="S13" s="35">
        <f t="shared" si="4"/>
        <v>2162</v>
      </c>
      <c r="T13" s="35">
        <f t="shared" si="5"/>
        <v>2512.69</v>
      </c>
      <c r="U13" s="36">
        <f t="shared" si="0"/>
        <v>0.58765999999999996</v>
      </c>
      <c r="V13" s="37"/>
      <c r="W13" s="38"/>
    </row>
    <row r="14" spans="1:23" s="25" customFormat="1" ht="16.5" x14ac:dyDescent="0.25">
      <c r="A14" s="31" t="s">
        <v>30</v>
      </c>
      <c r="B14" s="155" t="s">
        <v>144</v>
      </c>
      <c r="C14" s="133">
        <v>2902</v>
      </c>
      <c r="D14" s="32">
        <v>218860</v>
      </c>
      <c r="E14" s="34">
        <v>0.14430000000000001</v>
      </c>
      <c r="F14" s="33">
        <v>0.02</v>
      </c>
      <c r="G14" s="35">
        <f t="shared" si="1"/>
        <v>631.63</v>
      </c>
      <c r="H14" s="41">
        <v>146</v>
      </c>
      <c r="I14" s="41">
        <v>0</v>
      </c>
      <c r="J14" s="33">
        <v>1</v>
      </c>
      <c r="K14" s="35">
        <f t="shared" si="2"/>
        <v>146</v>
      </c>
      <c r="L14" s="41">
        <v>173</v>
      </c>
      <c r="M14" s="33">
        <v>0.06</v>
      </c>
      <c r="N14" s="33">
        <v>0.3</v>
      </c>
      <c r="O14" s="35">
        <f t="shared" si="3"/>
        <v>3</v>
      </c>
      <c r="P14" s="35">
        <v>981</v>
      </c>
      <c r="Q14" s="35">
        <v>0</v>
      </c>
      <c r="R14" s="33">
        <v>1</v>
      </c>
      <c r="S14" s="35">
        <f t="shared" si="4"/>
        <v>981</v>
      </c>
      <c r="T14" s="35">
        <f t="shared" si="5"/>
        <v>1761.63</v>
      </c>
      <c r="U14" s="36">
        <f t="shared" si="0"/>
        <v>0.28820000000000001</v>
      </c>
      <c r="V14" s="37"/>
      <c r="W14" s="38"/>
    </row>
    <row r="15" spans="1:23" s="25" customFormat="1" ht="16.5" x14ac:dyDescent="0.25">
      <c r="A15" s="31" t="s">
        <v>26</v>
      </c>
      <c r="B15" s="155" t="s">
        <v>145</v>
      </c>
      <c r="C15" s="133">
        <v>1393</v>
      </c>
      <c r="D15" s="32">
        <v>52850</v>
      </c>
      <c r="E15" s="34">
        <v>0.1371</v>
      </c>
      <c r="F15" s="33">
        <v>0.02</v>
      </c>
      <c r="G15" s="35">
        <f t="shared" si="1"/>
        <v>144.91</v>
      </c>
      <c r="H15" s="41">
        <v>28</v>
      </c>
      <c r="I15" s="41">
        <v>0</v>
      </c>
      <c r="J15" s="33">
        <v>1</v>
      </c>
      <c r="K15" s="35">
        <f t="shared" si="2"/>
        <v>28</v>
      </c>
      <c r="L15" s="41">
        <v>1045</v>
      </c>
      <c r="M15" s="33">
        <v>0.06</v>
      </c>
      <c r="N15" s="33">
        <v>0.3</v>
      </c>
      <c r="O15" s="35">
        <f t="shared" si="3"/>
        <v>19</v>
      </c>
      <c r="P15" s="35">
        <v>1538</v>
      </c>
      <c r="Q15" s="35">
        <v>0</v>
      </c>
      <c r="R15" s="33">
        <v>1</v>
      </c>
      <c r="S15" s="35">
        <f t="shared" si="4"/>
        <v>1538</v>
      </c>
      <c r="T15" s="35">
        <f t="shared" si="5"/>
        <v>1729.91</v>
      </c>
      <c r="U15" s="36">
        <f t="shared" si="0"/>
        <v>0.58958999999999995</v>
      </c>
      <c r="V15" s="37"/>
      <c r="W15" s="38"/>
    </row>
    <row r="16" spans="1:23" s="25" customFormat="1" ht="16.5" x14ac:dyDescent="0.25">
      <c r="A16" s="31" t="s">
        <v>31</v>
      </c>
      <c r="B16" s="155" t="s">
        <v>146</v>
      </c>
      <c r="C16" s="133">
        <v>2532</v>
      </c>
      <c r="D16" s="32">
        <v>123380</v>
      </c>
      <c r="E16" s="34">
        <v>0.13070000000000001</v>
      </c>
      <c r="F16" s="33">
        <v>0.02</v>
      </c>
      <c r="G16" s="35">
        <f t="shared" si="1"/>
        <v>322.52</v>
      </c>
      <c r="H16" s="41">
        <v>428</v>
      </c>
      <c r="I16" s="41">
        <v>0</v>
      </c>
      <c r="J16" s="33">
        <v>1</v>
      </c>
      <c r="K16" s="35">
        <f t="shared" si="2"/>
        <v>428</v>
      </c>
      <c r="L16" s="41">
        <v>486</v>
      </c>
      <c r="M16" s="33">
        <v>0.06</v>
      </c>
      <c r="N16" s="33">
        <v>0.3</v>
      </c>
      <c r="O16" s="35">
        <f t="shared" si="3"/>
        <v>9</v>
      </c>
      <c r="P16" s="35">
        <v>3029</v>
      </c>
      <c r="Q16" s="35">
        <v>850</v>
      </c>
      <c r="R16" s="33">
        <v>1</v>
      </c>
      <c r="S16" s="35">
        <f t="shared" si="4"/>
        <v>3879</v>
      </c>
      <c r="T16" s="35">
        <f t="shared" si="5"/>
        <v>4638.5200000000004</v>
      </c>
      <c r="U16" s="36">
        <f t="shared" si="0"/>
        <v>0.86975000000000002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3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1" t="s">
        <v>0</v>
      </c>
      <c r="B20" s="171"/>
      <c r="C20" s="151">
        <f>SUM(C9:C19)</f>
        <v>33318</v>
      </c>
      <c r="D20" s="146">
        <f>SUM(D9:D19)</f>
        <v>2413000</v>
      </c>
      <c r="E20" s="147" t="s">
        <v>7</v>
      </c>
      <c r="F20" s="147" t="s">
        <v>7</v>
      </c>
      <c r="G20" s="146">
        <f>SUM(G9:G19)</f>
        <v>25301.710000000003</v>
      </c>
      <c r="H20" s="146">
        <f>SUM(H9:H19)</f>
        <v>11113</v>
      </c>
      <c r="I20" s="146">
        <f>SUM(I9:I19)</f>
        <v>0</v>
      </c>
      <c r="J20" s="147" t="s">
        <v>7</v>
      </c>
      <c r="K20" s="146">
        <f>SUM(K9:K19)</f>
        <v>11113</v>
      </c>
      <c r="L20" s="146">
        <f>SUM(L9:L19)</f>
        <v>7302</v>
      </c>
      <c r="M20" s="147" t="s">
        <v>7</v>
      </c>
      <c r="N20" s="147" t="s">
        <v>7</v>
      </c>
      <c r="O20" s="146">
        <f>SUM(O9:O19)</f>
        <v>141</v>
      </c>
      <c r="P20" s="146">
        <f>SUM(P9:P19)</f>
        <v>26678</v>
      </c>
      <c r="Q20" s="146">
        <f>SUM(Q9:Q19)</f>
        <v>6944</v>
      </c>
      <c r="R20" s="147" t="s">
        <v>7</v>
      </c>
      <c r="S20" s="146">
        <f>SUM(S9:S19)</f>
        <v>33622</v>
      </c>
      <c r="T20" s="146">
        <f>SUM(T9:T19)</f>
        <v>70177.709999999992</v>
      </c>
      <c r="U20" s="152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I1" activePane="topRight" state="frozenSplit"/>
      <selection activeCell="A4" sqref="A4"/>
      <selection pane="topRight" activeCell="AP14" sqref="AP1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157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46"/>
      <c r="N3" s="127">
        <f>L3+1</f>
        <v>4</v>
      </c>
      <c r="O3" s="46"/>
      <c r="P3" s="127">
        <f>N3+1</f>
        <v>5</v>
      </c>
      <c r="Q3" s="46"/>
      <c r="R3" s="127">
        <f>P3+1</f>
        <v>6</v>
      </c>
      <c r="S3" s="46"/>
      <c r="T3" s="127">
        <f>R3+1</f>
        <v>7</v>
      </c>
      <c r="U3" s="46"/>
      <c r="V3" s="127">
        <f>T3+1</f>
        <v>8</v>
      </c>
      <c r="W3" s="46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66" t="s">
        <v>1</v>
      </c>
      <c r="B4" s="166" t="s">
        <v>2</v>
      </c>
      <c r="C4" s="175" t="s">
        <v>158</v>
      </c>
      <c r="D4" s="196" t="s">
        <v>135</v>
      </c>
      <c r="E4" s="197" t="s">
        <v>102</v>
      </c>
      <c r="F4" s="168" t="s">
        <v>103</v>
      </c>
      <c r="G4" s="168" t="s">
        <v>104</v>
      </c>
      <c r="H4" s="198" t="s">
        <v>135</v>
      </c>
      <c r="I4" s="197" t="s">
        <v>153</v>
      </c>
      <c r="J4" s="168" t="s">
        <v>105</v>
      </c>
      <c r="K4" s="196" t="s">
        <v>135</v>
      </c>
      <c r="L4" s="197" t="s">
        <v>149</v>
      </c>
      <c r="M4" s="196" t="s">
        <v>135</v>
      </c>
      <c r="N4" s="197" t="s">
        <v>147</v>
      </c>
      <c r="O4" s="196" t="s">
        <v>135</v>
      </c>
      <c r="P4" s="201" t="s">
        <v>152</v>
      </c>
      <c r="Q4" s="198" t="s">
        <v>135</v>
      </c>
      <c r="R4" s="201" t="s">
        <v>106</v>
      </c>
      <c r="S4" s="196" t="s">
        <v>135</v>
      </c>
      <c r="T4" s="197" t="s">
        <v>148</v>
      </c>
      <c r="U4" s="196" t="s">
        <v>135</v>
      </c>
      <c r="V4" s="175" t="s">
        <v>62</v>
      </c>
      <c r="W4" s="196" t="s">
        <v>135</v>
      </c>
      <c r="X4" s="197" t="s">
        <v>107</v>
      </c>
      <c r="Y4" s="196" t="s">
        <v>135</v>
      </c>
      <c r="Z4" s="197" t="s">
        <v>108</v>
      </c>
      <c r="AA4" s="196" t="s">
        <v>135</v>
      </c>
      <c r="AB4" s="197" t="s">
        <v>109</v>
      </c>
      <c r="AC4" s="196" t="s">
        <v>135</v>
      </c>
      <c r="AD4" s="197" t="s">
        <v>151</v>
      </c>
      <c r="AE4" s="175" t="s">
        <v>110</v>
      </c>
      <c r="AF4" s="175" t="s">
        <v>111</v>
      </c>
      <c r="AG4" s="168" t="s">
        <v>113</v>
      </c>
      <c r="AH4" s="196" t="s">
        <v>135</v>
      </c>
      <c r="AI4" s="197" t="s">
        <v>112</v>
      </c>
      <c r="AJ4" s="168" t="s">
        <v>116</v>
      </c>
      <c r="AK4" s="168" t="s">
        <v>63</v>
      </c>
      <c r="AL4" s="175" t="s">
        <v>114</v>
      </c>
      <c r="AM4" s="168" t="s">
        <v>115</v>
      </c>
      <c r="AN4" s="196" t="s">
        <v>135</v>
      </c>
      <c r="AO4" s="197" t="s">
        <v>154</v>
      </c>
      <c r="AP4" s="175" t="s">
        <v>64</v>
      </c>
      <c r="AQ4" s="175" t="s">
        <v>10</v>
      </c>
      <c r="AR4" s="175" t="s">
        <v>36</v>
      </c>
    </row>
    <row r="5" spans="1:46" ht="13.15" customHeight="1" x14ac:dyDescent="0.2">
      <c r="A5" s="166"/>
      <c r="B5" s="195"/>
      <c r="C5" s="175"/>
      <c r="D5" s="196"/>
      <c r="E5" s="197"/>
      <c r="F5" s="168"/>
      <c r="G5" s="168"/>
      <c r="H5" s="199"/>
      <c r="I5" s="197"/>
      <c r="J5" s="168"/>
      <c r="K5" s="196"/>
      <c r="L5" s="197"/>
      <c r="M5" s="196"/>
      <c r="N5" s="197"/>
      <c r="O5" s="196"/>
      <c r="P5" s="202"/>
      <c r="Q5" s="199"/>
      <c r="R5" s="202"/>
      <c r="S5" s="196"/>
      <c r="T5" s="197"/>
      <c r="U5" s="196"/>
      <c r="V5" s="175"/>
      <c r="W5" s="196"/>
      <c r="X5" s="197"/>
      <c r="Y5" s="196"/>
      <c r="Z5" s="197"/>
      <c r="AA5" s="196"/>
      <c r="AB5" s="197"/>
      <c r="AC5" s="196"/>
      <c r="AD5" s="197"/>
      <c r="AE5" s="175"/>
      <c r="AF5" s="175"/>
      <c r="AG5" s="168"/>
      <c r="AH5" s="196"/>
      <c r="AI5" s="197"/>
      <c r="AJ5" s="168"/>
      <c r="AK5" s="168"/>
      <c r="AL5" s="175"/>
      <c r="AM5" s="168"/>
      <c r="AN5" s="196"/>
      <c r="AO5" s="197"/>
      <c r="AP5" s="175"/>
      <c r="AQ5" s="175"/>
      <c r="AR5" s="175"/>
    </row>
    <row r="6" spans="1:46" ht="152.25" customHeight="1" x14ac:dyDescent="0.2">
      <c r="A6" s="166"/>
      <c r="B6" s="166"/>
      <c r="C6" s="175"/>
      <c r="D6" s="196"/>
      <c r="E6" s="197"/>
      <c r="F6" s="168"/>
      <c r="G6" s="168"/>
      <c r="H6" s="200"/>
      <c r="I6" s="197"/>
      <c r="J6" s="168"/>
      <c r="K6" s="196"/>
      <c r="L6" s="197"/>
      <c r="M6" s="196"/>
      <c r="N6" s="197"/>
      <c r="O6" s="196"/>
      <c r="P6" s="203"/>
      <c r="Q6" s="200"/>
      <c r="R6" s="203"/>
      <c r="S6" s="196"/>
      <c r="T6" s="197"/>
      <c r="U6" s="196"/>
      <c r="V6" s="175"/>
      <c r="W6" s="196"/>
      <c r="X6" s="197"/>
      <c r="Y6" s="196"/>
      <c r="Z6" s="197"/>
      <c r="AA6" s="196"/>
      <c r="AB6" s="197"/>
      <c r="AC6" s="196"/>
      <c r="AD6" s="197"/>
      <c r="AE6" s="175"/>
      <c r="AF6" s="175"/>
      <c r="AG6" s="168"/>
      <c r="AH6" s="196"/>
      <c r="AI6" s="197"/>
      <c r="AJ6" s="168"/>
      <c r="AK6" s="168"/>
      <c r="AL6" s="175"/>
      <c r="AM6" s="168"/>
      <c r="AN6" s="196"/>
      <c r="AO6" s="197"/>
      <c r="AP6" s="175"/>
      <c r="AQ6" s="175"/>
      <c r="AR6" s="175"/>
      <c r="AT6" s="7"/>
    </row>
    <row r="7" spans="1:46" x14ac:dyDescent="0.2">
      <c r="A7" s="189" t="s">
        <v>65</v>
      </c>
      <c r="B7" s="190"/>
      <c r="C7" s="154">
        <v>1</v>
      </c>
      <c r="D7" s="154">
        <v>2</v>
      </c>
      <c r="E7" s="154" t="s">
        <v>117</v>
      </c>
      <c r="F7" s="154" t="s">
        <v>118</v>
      </c>
      <c r="G7" s="136" t="s">
        <v>119</v>
      </c>
      <c r="H7" s="154">
        <v>6</v>
      </c>
      <c r="I7" s="154" t="s">
        <v>136</v>
      </c>
      <c r="J7" s="154">
        <v>8</v>
      </c>
      <c r="K7" s="154">
        <v>9</v>
      </c>
      <c r="L7" s="154" t="s">
        <v>150</v>
      </c>
      <c r="M7" s="154">
        <v>11</v>
      </c>
      <c r="N7" s="154" t="s">
        <v>120</v>
      </c>
      <c r="O7" s="154">
        <v>13</v>
      </c>
      <c r="P7" s="154" t="s">
        <v>121</v>
      </c>
      <c r="Q7" s="154">
        <v>15</v>
      </c>
      <c r="R7" s="154" t="s">
        <v>122</v>
      </c>
      <c r="S7" s="154">
        <v>17</v>
      </c>
      <c r="T7" s="154" t="s">
        <v>123</v>
      </c>
      <c r="U7" s="154">
        <v>19</v>
      </c>
      <c r="V7" s="154" t="s">
        <v>124</v>
      </c>
      <c r="W7" s="154">
        <v>21</v>
      </c>
      <c r="X7" s="154" t="s">
        <v>125</v>
      </c>
      <c r="Y7" s="154">
        <v>23</v>
      </c>
      <c r="Z7" s="154" t="s">
        <v>126</v>
      </c>
      <c r="AA7" s="154">
        <v>25</v>
      </c>
      <c r="AB7" s="154" t="s">
        <v>127</v>
      </c>
      <c r="AC7" s="154">
        <v>27</v>
      </c>
      <c r="AD7" s="154" t="s">
        <v>128</v>
      </c>
      <c r="AE7" s="154">
        <v>29</v>
      </c>
      <c r="AF7" s="154">
        <v>30</v>
      </c>
      <c r="AG7" s="154">
        <v>31</v>
      </c>
      <c r="AH7" s="154">
        <v>32</v>
      </c>
      <c r="AI7" s="154" t="s">
        <v>129</v>
      </c>
      <c r="AJ7" s="154">
        <v>34</v>
      </c>
      <c r="AK7" s="154">
        <v>35</v>
      </c>
      <c r="AL7" s="154" t="s">
        <v>130</v>
      </c>
      <c r="AM7" s="154">
        <v>37</v>
      </c>
      <c r="AN7" s="154">
        <v>38</v>
      </c>
      <c r="AO7" s="154" t="s">
        <v>131</v>
      </c>
      <c r="AP7" s="154" t="s">
        <v>132</v>
      </c>
      <c r="AQ7" s="154" t="s">
        <v>133</v>
      </c>
      <c r="AR7" s="137" t="s">
        <v>134</v>
      </c>
    </row>
    <row r="8" spans="1:46" ht="13.5" x14ac:dyDescent="0.25">
      <c r="A8" s="188"/>
      <c r="B8" s="188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4"/>
      <c r="AO8" s="140"/>
      <c r="AP8" s="141"/>
      <c r="AQ8" s="141"/>
      <c r="AR8" s="142" t="s">
        <v>8</v>
      </c>
    </row>
    <row r="9" spans="1:46" s="131" customFormat="1" ht="15.75" x14ac:dyDescent="0.25">
      <c r="A9" s="66">
        <v>1</v>
      </c>
      <c r="B9" s="155" t="s">
        <v>139</v>
      </c>
      <c r="C9" s="143">
        <v>13515</v>
      </c>
      <c r="D9" s="78">
        <v>0</v>
      </c>
      <c r="E9" s="59">
        <f>C9*D9</f>
        <v>0</v>
      </c>
      <c r="F9" s="70"/>
      <c r="G9" s="70">
        <f>F9*18</f>
        <v>0</v>
      </c>
      <c r="H9" s="156">
        <v>1.1204000000000001</v>
      </c>
      <c r="I9" s="59">
        <f>C9*H9</f>
        <v>15142.206</v>
      </c>
      <c r="J9" s="132"/>
      <c r="K9" s="156">
        <v>1.6199999999999999E-2</v>
      </c>
      <c r="L9" s="59">
        <f>C9*K9</f>
        <v>218.94299999999998</v>
      </c>
      <c r="M9" s="78">
        <v>2E-3</v>
      </c>
      <c r="N9" s="157">
        <f t="shared" ref="N9:N19" si="0">C9*M9</f>
        <v>27.03</v>
      </c>
      <c r="O9" s="156"/>
      <c r="P9" s="59">
        <f>C9*O9</f>
        <v>0</v>
      </c>
      <c r="Q9" s="156">
        <v>0</v>
      </c>
      <c r="R9" s="59">
        <f>C9*Q9</f>
        <v>0</v>
      </c>
      <c r="S9" s="78"/>
      <c r="T9" s="59">
        <f>C9*S9</f>
        <v>0</v>
      </c>
      <c r="U9" s="156"/>
      <c r="V9" s="59">
        <f>C9*U9</f>
        <v>0</v>
      </c>
      <c r="W9" s="156">
        <v>1.2699999999999999E-2</v>
      </c>
      <c r="X9" s="59">
        <f>C9*W9</f>
        <v>171.6405</v>
      </c>
      <c r="Y9" s="156">
        <v>0.26910000000000001</v>
      </c>
      <c r="Z9" s="59">
        <f>C9*Y9</f>
        <v>3636.8865000000001</v>
      </c>
      <c r="AA9" s="78">
        <v>0.3291</v>
      </c>
      <c r="AB9" s="59">
        <f>C9*AA9</f>
        <v>4447.7865000000002</v>
      </c>
      <c r="AC9" s="156">
        <v>2.7000000000000001E-3</v>
      </c>
      <c r="AD9" s="59">
        <f t="shared" ref="AD9:AD19" si="1">C9*AC9</f>
        <v>36.490500000000004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6">
        <v>1.09E-2</v>
      </c>
      <c r="AO9" s="59">
        <f>C9*AN9</f>
        <v>147.3135</v>
      </c>
      <c r="AP9" s="61">
        <f>E9+I9+L9+N9+P9+R9+T9+V9+X9+Z9+AB9+AD9+AE9+AF9+AI9+AL9+AO9</f>
        <v>23828.2965</v>
      </c>
      <c r="AQ9" s="144">
        <f t="shared" ref="AQ9:AQ19" si="2">AP9/C9</f>
        <v>1.7631000000000001</v>
      </c>
      <c r="AR9" s="145">
        <f t="shared" ref="AR9:AR19" si="3">ROUND((AP9/C9)/($AP$20/$C$20),5)</f>
        <v>1.1441300000000001</v>
      </c>
      <c r="AS9" s="130"/>
    </row>
    <row r="10" spans="1:46" s="131" customFormat="1" ht="15.75" x14ac:dyDescent="0.25">
      <c r="A10" s="66">
        <v>2</v>
      </c>
      <c r="B10" s="155" t="s">
        <v>140</v>
      </c>
      <c r="C10" s="143">
        <v>5536</v>
      </c>
      <c r="D10" s="78">
        <v>0.57199999999999995</v>
      </c>
      <c r="E10" s="59">
        <f t="shared" ref="E10:E19" si="4">C10*D10</f>
        <v>3166.5919999999996</v>
      </c>
      <c r="F10" s="70"/>
      <c r="G10" s="70">
        <f t="shared" ref="G10:G19" si="5">F10*18</f>
        <v>0</v>
      </c>
      <c r="H10" s="156">
        <v>1.1204000000000001</v>
      </c>
      <c r="I10" s="59">
        <f>C10*H10</f>
        <v>6202.5344000000005</v>
      </c>
      <c r="J10" s="132"/>
      <c r="K10" s="156">
        <v>1.6199999999999999E-2</v>
      </c>
      <c r="L10" s="59">
        <f>C10*K10</f>
        <v>89.683199999999999</v>
      </c>
      <c r="M10" s="78">
        <v>2E-3</v>
      </c>
      <c r="N10" s="157">
        <f t="shared" si="0"/>
        <v>11.072000000000001</v>
      </c>
      <c r="O10" s="156"/>
      <c r="P10" s="59">
        <f t="shared" ref="P10:P19" si="6">C10*O10</f>
        <v>0</v>
      </c>
      <c r="Q10" s="156">
        <v>0.13170000000000001</v>
      </c>
      <c r="R10" s="59">
        <f t="shared" ref="R10:R19" si="7">C10*Q10</f>
        <v>729.09120000000007</v>
      </c>
      <c r="S10" s="156">
        <v>4.4999999999999997E-3</v>
      </c>
      <c r="T10" s="59">
        <f t="shared" ref="T10:T19" si="8">C10*S10</f>
        <v>24.911999999999999</v>
      </c>
      <c r="U10" s="156"/>
      <c r="V10" s="59">
        <f t="shared" ref="V10:V19" si="9">C10*U10</f>
        <v>0</v>
      </c>
      <c r="W10" s="156">
        <v>1.2699999999999999E-2</v>
      </c>
      <c r="X10" s="59">
        <f t="shared" ref="X10:X19" si="10">C10*W10</f>
        <v>70.307199999999995</v>
      </c>
      <c r="Y10" s="156">
        <v>0.26910000000000001</v>
      </c>
      <c r="Z10" s="59">
        <f t="shared" ref="Z10:Z19" si="11">C10*Y10</f>
        <v>1489.7375999999999</v>
      </c>
      <c r="AA10" s="78">
        <v>0.3291</v>
      </c>
      <c r="AB10" s="59">
        <f t="shared" ref="AB10:AB19" si="12">C10*AA10</f>
        <v>1821.8976</v>
      </c>
      <c r="AC10" s="156">
        <v>2.7000000000000001E-3</v>
      </c>
      <c r="AD10" s="59">
        <f t="shared" si="1"/>
        <v>14.9472</v>
      </c>
      <c r="AE10" s="59"/>
      <c r="AF10" s="59"/>
      <c r="AG10" s="70"/>
      <c r="AH10" s="78"/>
      <c r="AI10" s="59">
        <f t="shared" ref="AI10:AI19" si="13">AG10*AH10</f>
        <v>0</v>
      </c>
      <c r="AJ10" s="70"/>
      <c r="AK10" s="78"/>
      <c r="AL10" s="59">
        <f t="shared" ref="AL10:AL19" si="14">AJ10*AK10</f>
        <v>0</v>
      </c>
      <c r="AM10" s="64"/>
      <c r="AN10" s="156">
        <v>1.09E-2</v>
      </c>
      <c r="AO10" s="59">
        <f>C10*AN10</f>
        <v>60.342399999999998</v>
      </c>
      <c r="AP10" s="61">
        <f t="shared" ref="AP10:AP19" si="15">E10+I10+L10+N10+P10+R10+T10+V10+X10+Z10+AB10+AD10+AE10+AF10+AI10+AL10+AO10</f>
        <v>13681.116800000002</v>
      </c>
      <c r="AQ10" s="144">
        <f t="shared" si="2"/>
        <v>2.4713000000000003</v>
      </c>
      <c r="AR10" s="145">
        <f t="shared" si="3"/>
        <v>1.60371</v>
      </c>
      <c r="AS10" s="130"/>
    </row>
    <row r="11" spans="1:46" s="131" customFormat="1" ht="15.75" x14ac:dyDescent="0.25">
      <c r="A11" s="66">
        <v>3</v>
      </c>
      <c r="B11" s="155" t="s">
        <v>141</v>
      </c>
      <c r="C11" s="143">
        <v>2525</v>
      </c>
      <c r="D11" s="78">
        <v>0.67200000000000004</v>
      </c>
      <c r="E11" s="59">
        <f t="shared" si="4"/>
        <v>1696.8000000000002</v>
      </c>
      <c r="F11" s="70"/>
      <c r="G11" s="70">
        <f t="shared" si="5"/>
        <v>0</v>
      </c>
      <c r="H11" s="70"/>
      <c r="I11" s="59">
        <f t="shared" ref="I11:I19" si="16">G11*H11/1000*1%</f>
        <v>0</v>
      </c>
      <c r="J11" s="132"/>
      <c r="K11" s="132">
        <v>0</v>
      </c>
      <c r="L11" s="59">
        <f t="shared" ref="L11:L19" si="17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6">
        <v>0.1003</v>
      </c>
      <c r="R11" s="59">
        <f t="shared" si="7"/>
        <v>253.25749999999999</v>
      </c>
      <c r="S11" s="78"/>
      <c r="T11" s="59">
        <f t="shared" si="8"/>
        <v>0</v>
      </c>
      <c r="U11" s="156"/>
      <c r="V11" s="59">
        <f t="shared" si="9"/>
        <v>0</v>
      </c>
      <c r="W11" s="156">
        <v>1.6999999999999999E-3</v>
      </c>
      <c r="X11" s="59">
        <f t="shared" si="10"/>
        <v>4.2924999999999995</v>
      </c>
      <c r="Y11" s="156">
        <v>1.89E-2</v>
      </c>
      <c r="Z11" s="59">
        <f t="shared" si="11"/>
        <v>47.722500000000004</v>
      </c>
      <c r="AA11" s="78">
        <v>0.1424</v>
      </c>
      <c r="AB11" s="59">
        <f t="shared" si="12"/>
        <v>359.56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86.607499999999987</v>
      </c>
      <c r="AJ11" s="70"/>
      <c r="AK11" s="78"/>
      <c r="AL11" s="59">
        <f t="shared" si="14"/>
        <v>0</v>
      </c>
      <c r="AM11" s="64"/>
      <c r="AN11" s="64"/>
      <c r="AO11" s="59">
        <f t="shared" ref="AO11:AO19" si="18">AM11*AN11*12/1000</f>
        <v>0</v>
      </c>
      <c r="AP11" s="61">
        <f t="shared" si="15"/>
        <v>2448.2400000000002</v>
      </c>
      <c r="AQ11" s="144">
        <f t="shared" si="2"/>
        <v>0.96960000000000013</v>
      </c>
      <c r="AR11" s="145">
        <f t="shared" si="3"/>
        <v>0.62921000000000005</v>
      </c>
      <c r="AS11" s="130"/>
    </row>
    <row r="12" spans="1:46" s="131" customFormat="1" ht="15.75" x14ac:dyDescent="0.25">
      <c r="A12" s="66">
        <v>4</v>
      </c>
      <c r="B12" s="155" t="s">
        <v>142</v>
      </c>
      <c r="C12" s="143">
        <v>2885</v>
      </c>
      <c r="D12" s="78">
        <v>0.67200000000000004</v>
      </c>
      <c r="E12" s="59">
        <f t="shared" si="4"/>
        <v>1938.72</v>
      </c>
      <c r="F12" s="70"/>
      <c r="G12" s="70">
        <f t="shared" si="5"/>
        <v>0</v>
      </c>
      <c r="H12" s="70"/>
      <c r="I12" s="59">
        <f t="shared" si="16"/>
        <v>0</v>
      </c>
      <c r="J12" s="132"/>
      <c r="K12" s="132">
        <v>0</v>
      </c>
      <c r="L12" s="59">
        <f t="shared" si="17"/>
        <v>0</v>
      </c>
      <c r="M12" s="78"/>
      <c r="N12" s="59">
        <f t="shared" si="0"/>
        <v>0</v>
      </c>
      <c r="O12" s="78"/>
      <c r="P12" s="59">
        <f t="shared" si="6"/>
        <v>0</v>
      </c>
      <c r="Q12" s="156">
        <v>0.1003</v>
      </c>
      <c r="R12" s="59">
        <f>C12*Q12</f>
        <v>289.3655</v>
      </c>
      <c r="S12" s="78"/>
      <c r="T12" s="59">
        <f t="shared" si="8"/>
        <v>0</v>
      </c>
      <c r="U12" s="156"/>
      <c r="V12" s="59">
        <f t="shared" si="9"/>
        <v>0</v>
      </c>
      <c r="W12" s="156">
        <v>1.6999999999999999E-3</v>
      </c>
      <c r="X12" s="59">
        <f t="shared" si="10"/>
        <v>4.9044999999999996</v>
      </c>
      <c r="Y12" s="156">
        <v>1.89E-2</v>
      </c>
      <c r="Z12" s="59">
        <f t="shared" si="11"/>
        <v>54.526499999999999</v>
      </c>
      <c r="AA12" s="78">
        <v>0.1424</v>
      </c>
      <c r="AB12" s="59">
        <f t="shared" si="12"/>
        <v>410.82400000000001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98.955499999999986</v>
      </c>
      <c r="AJ12" s="70"/>
      <c r="AK12" s="78"/>
      <c r="AL12" s="59">
        <f t="shared" si="14"/>
        <v>0</v>
      </c>
      <c r="AM12" s="64"/>
      <c r="AN12" s="64"/>
      <c r="AO12" s="59">
        <f t="shared" si="18"/>
        <v>0</v>
      </c>
      <c r="AP12" s="61">
        <f t="shared" si="15"/>
        <v>2797.2960000000003</v>
      </c>
      <c r="AQ12" s="144">
        <f t="shared" si="2"/>
        <v>0.96960000000000013</v>
      </c>
      <c r="AR12" s="145">
        <f t="shared" si="3"/>
        <v>0.62921000000000005</v>
      </c>
      <c r="AS12" s="130"/>
    </row>
    <row r="13" spans="1:46" s="131" customFormat="1" ht="15.75" x14ac:dyDescent="0.25">
      <c r="A13" s="66">
        <v>5</v>
      </c>
      <c r="B13" s="155" t="s">
        <v>143</v>
      </c>
      <c r="C13" s="143">
        <v>2030</v>
      </c>
      <c r="D13" s="78">
        <v>0.67200000000000004</v>
      </c>
      <c r="E13" s="59">
        <f t="shared" si="4"/>
        <v>1364.16</v>
      </c>
      <c r="F13" s="70"/>
      <c r="G13" s="70">
        <f t="shared" si="5"/>
        <v>0</v>
      </c>
      <c r="H13" s="70"/>
      <c r="I13" s="59">
        <f t="shared" si="16"/>
        <v>0</v>
      </c>
      <c r="J13" s="132"/>
      <c r="K13" s="132">
        <v>0</v>
      </c>
      <c r="L13" s="59">
        <f t="shared" si="17"/>
        <v>0</v>
      </c>
      <c r="M13" s="78"/>
      <c r="N13" s="59">
        <f t="shared" si="0"/>
        <v>0</v>
      </c>
      <c r="O13" s="78"/>
      <c r="P13" s="59">
        <f t="shared" si="6"/>
        <v>0</v>
      </c>
      <c r="Q13" s="156">
        <v>0.1003</v>
      </c>
      <c r="R13" s="59">
        <f t="shared" si="7"/>
        <v>203.60900000000001</v>
      </c>
      <c r="S13" s="78"/>
      <c r="T13" s="59">
        <f t="shared" si="8"/>
        <v>0</v>
      </c>
      <c r="U13" s="156"/>
      <c r="V13" s="59">
        <f t="shared" si="9"/>
        <v>0</v>
      </c>
      <c r="W13" s="156">
        <v>1.6999999999999999E-3</v>
      </c>
      <c r="X13" s="59">
        <f t="shared" si="10"/>
        <v>3.4509999999999996</v>
      </c>
      <c r="Y13" s="156">
        <v>1.89E-2</v>
      </c>
      <c r="Z13" s="59">
        <f t="shared" si="11"/>
        <v>38.366999999999997</v>
      </c>
      <c r="AA13" s="78">
        <v>0.1424</v>
      </c>
      <c r="AB13" s="59">
        <f t="shared" si="12"/>
        <v>289.072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69.628999999999991</v>
      </c>
      <c r="AJ13" s="70"/>
      <c r="AK13" s="78"/>
      <c r="AL13" s="59">
        <f t="shared" si="14"/>
        <v>0</v>
      </c>
      <c r="AM13" s="64"/>
      <c r="AN13" s="64"/>
      <c r="AO13" s="59">
        <f t="shared" si="18"/>
        <v>0</v>
      </c>
      <c r="AP13" s="61">
        <f t="shared" si="15"/>
        <v>1968.288</v>
      </c>
      <c r="AQ13" s="144">
        <f t="shared" si="2"/>
        <v>0.96960000000000002</v>
      </c>
      <c r="AR13" s="145">
        <f t="shared" si="3"/>
        <v>0.62921000000000005</v>
      </c>
      <c r="AS13" s="130"/>
    </row>
    <row r="14" spans="1:46" s="131" customFormat="1" ht="15.75" x14ac:dyDescent="0.25">
      <c r="A14" s="66">
        <v>6</v>
      </c>
      <c r="B14" s="155" t="s">
        <v>144</v>
      </c>
      <c r="C14" s="143">
        <v>2902</v>
      </c>
      <c r="D14" s="78">
        <v>0.67200000000000004</v>
      </c>
      <c r="E14" s="59">
        <f t="shared" si="4"/>
        <v>1950.1440000000002</v>
      </c>
      <c r="F14" s="70"/>
      <c r="G14" s="70">
        <f t="shared" si="5"/>
        <v>0</v>
      </c>
      <c r="H14" s="70"/>
      <c r="I14" s="59">
        <f t="shared" si="16"/>
        <v>0</v>
      </c>
      <c r="J14" s="132"/>
      <c r="K14" s="132">
        <v>0</v>
      </c>
      <c r="L14" s="59">
        <f t="shared" si="17"/>
        <v>0</v>
      </c>
      <c r="M14" s="78"/>
      <c r="N14" s="59">
        <f t="shared" si="0"/>
        <v>0</v>
      </c>
      <c r="O14" s="78"/>
      <c r="P14" s="59">
        <f t="shared" si="6"/>
        <v>0</v>
      </c>
      <c r="Q14" s="156">
        <v>0.1003</v>
      </c>
      <c r="R14" s="59">
        <f t="shared" si="7"/>
        <v>291.07060000000001</v>
      </c>
      <c r="S14" s="78"/>
      <c r="T14" s="59">
        <f t="shared" si="8"/>
        <v>0</v>
      </c>
      <c r="U14" s="156"/>
      <c r="V14" s="59">
        <f t="shared" si="9"/>
        <v>0</v>
      </c>
      <c r="W14" s="156">
        <v>1.6999999999999999E-3</v>
      </c>
      <c r="X14" s="59">
        <f t="shared" si="10"/>
        <v>4.9333999999999998</v>
      </c>
      <c r="Y14" s="156">
        <v>1.89E-2</v>
      </c>
      <c r="Z14" s="59">
        <f t="shared" si="11"/>
        <v>54.847799999999999</v>
      </c>
      <c r="AA14" s="78">
        <v>0.1424</v>
      </c>
      <c r="AB14" s="59">
        <f t="shared" si="12"/>
        <v>413.2448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99.538599999999988</v>
      </c>
      <c r="AJ14" s="70"/>
      <c r="AK14" s="78"/>
      <c r="AL14" s="59">
        <f t="shared" si="14"/>
        <v>0</v>
      </c>
      <c r="AM14" s="64"/>
      <c r="AN14" s="64"/>
      <c r="AO14" s="59">
        <f t="shared" si="18"/>
        <v>0</v>
      </c>
      <c r="AP14" s="61">
        <f t="shared" si="15"/>
        <v>2813.7791999999999</v>
      </c>
      <c r="AQ14" s="144">
        <f t="shared" si="2"/>
        <v>0.96960000000000002</v>
      </c>
      <c r="AR14" s="145">
        <f t="shared" si="3"/>
        <v>0.62921000000000005</v>
      </c>
      <c r="AS14" s="130"/>
    </row>
    <row r="15" spans="1:46" s="131" customFormat="1" ht="15.75" x14ac:dyDescent="0.25">
      <c r="A15" s="66">
        <v>7</v>
      </c>
      <c r="B15" s="155" t="s">
        <v>145</v>
      </c>
      <c r="C15" s="143">
        <v>1393</v>
      </c>
      <c r="D15" s="78">
        <v>0.67200000000000004</v>
      </c>
      <c r="E15" s="59">
        <f t="shared" si="4"/>
        <v>936.096</v>
      </c>
      <c r="F15" s="70"/>
      <c r="G15" s="70">
        <f t="shared" si="5"/>
        <v>0</v>
      </c>
      <c r="H15" s="70"/>
      <c r="I15" s="59">
        <f t="shared" si="16"/>
        <v>0</v>
      </c>
      <c r="J15" s="132"/>
      <c r="K15" s="132">
        <v>0</v>
      </c>
      <c r="L15" s="59">
        <f t="shared" si="17"/>
        <v>0</v>
      </c>
      <c r="M15" s="78"/>
      <c r="N15" s="59">
        <f t="shared" si="0"/>
        <v>0</v>
      </c>
      <c r="O15" s="78"/>
      <c r="P15" s="59">
        <f t="shared" si="6"/>
        <v>0</v>
      </c>
      <c r="Q15" s="156">
        <v>0.1003</v>
      </c>
      <c r="R15" s="59">
        <f t="shared" si="7"/>
        <v>139.71790000000001</v>
      </c>
      <c r="S15" s="78"/>
      <c r="T15" s="59">
        <f t="shared" si="8"/>
        <v>0</v>
      </c>
      <c r="U15" s="156"/>
      <c r="V15" s="59">
        <f t="shared" si="9"/>
        <v>0</v>
      </c>
      <c r="W15" s="156">
        <v>1.6999999999999999E-3</v>
      </c>
      <c r="X15" s="59">
        <f t="shared" si="10"/>
        <v>2.3680999999999996</v>
      </c>
      <c r="Y15" s="156">
        <v>1.89E-2</v>
      </c>
      <c r="Z15" s="59">
        <f t="shared" si="11"/>
        <v>26.3277</v>
      </c>
      <c r="AA15" s="78">
        <v>0.1424</v>
      </c>
      <c r="AB15" s="59">
        <f t="shared" si="12"/>
        <v>198.36320000000001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47.779899999999998</v>
      </c>
      <c r="AJ15" s="70"/>
      <c r="AK15" s="78"/>
      <c r="AL15" s="59">
        <f t="shared" si="14"/>
        <v>0</v>
      </c>
      <c r="AM15" s="64"/>
      <c r="AN15" s="64"/>
      <c r="AO15" s="59">
        <f t="shared" si="18"/>
        <v>0</v>
      </c>
      <c r="AP15" s="61">
        <f t="shared" si="15"/>
        <v>1350.6528000000001</v>
      </c>
      <c r="AQ15" s="144">
        <f t="shared" si="2"/>
        <v>0.96960000000000002</v>
      </c>
      <c r="AR15" s="145">
        <f t="shared" si="3"/>
        <v>0.62921000000000005</v>
      </c>
      <c r="AS15" s="130"/>
    </row>
    <row r="16" spans="1:46" s="131" customFormat="1" ht="15.75" x14ac:dyDescent="0.25">
      <c r="A16" s="66">
        <v>8</v>
      </c>
      <c r="B16" s="155" t="s">
        <v>146</v>
      </c>
      <c r="C16" s="143">
        <v>2532</v>
      </c>
      <c r="D16" s="78">
        <v>0.67200000000000004</v>
      </c>
      <c r="E16" s="59">
        <f t="shared" si="4"/>
        <v>1701.5040000000001</v>
      </c>
      <c r="F16" s="70"/>
      <c r="G16" s="70">
        <f t="shared" si="5"/>
        <v>0</v>
      </c>
      <c r="H16" s="70"/>
      <c r="I16" s="59">
        <f t="shared" si="16"/>
        <v>0</v>
      </c>
      <c r="J16" s="132"/>
      <c r="K16" s="132">
        <v>0</v>
      </c>
      <c r="L16" s="59">
        <f t="shared" si="17"/>
        <v>0</v>
      </c>
      <c r="M16" s="78"/>
      <c r="N16" s="59">
        <f t="shared" si="0"/>
        <v>0</v>
      </c>
      <c r="O16" s="78"/>
      <c r="P16" s="59">
        <f t="shared" si="6"/>
        <v>0</v>
      </c>
      <c r="Q16" s="156">
        <v>0.1003</v>
      </c>
      <c r="R16" s="59">
        <f t="shared" si="7"/>
        <v>253.95959999999999</v>
      </c>
      <c r="S16" s="78"/>
      <c r="T16" s="59">
        <f t="shared" si="8"/>
        <v>0</v>
      </c>
      <c r="U16" s="156"/>
      <c r="V16" s="59">
        <f t="shared" si="9"/>
        <v>0</v>
      </c>
      <c r="W16" s="156">
        <v>1.6999999999999999E-3</v>
      </c>
      <c r="X16" s="59">
        <f t="shared" si="10"/>
        <v>4.3043999999999993</v>
      </c>
      <c r="Y16" s="156">
        <v>1.89E-2</v>
      </c>
      <c r="Z16" s="59">
        <f t="shared" si="11"/>
        <v>47.854799999999997</v>
      </c>
      <c r="AA16" s="78">
        <v>0.1424</v>
      </c>
      <c r="AB16" s="59">
        <f t="shared" si="12"/>
        <v>360.55680000000001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86.8476</v>
      </c>
      <c r="AJ16" s="70"/>
      <c r="AK16" s="78"/>
      <c r="AL16" s="59">
        <f t="shared" si="14"/>
        <v>0</v>
      </c>
      <c r="AM16" s="64"/>
      <c r="AN16" s="64"/>
      <c r="AO16" s="59">
        <f t="shared" si="18"/>
        <v>0</v>
      </c>
      <c r="AP16" s="61">
        <f t="shared" si="15"/>
        <v>2455.0272</v>
      </c>
      <c r="AQ16" s="144">
        <f t="shared" si="2"/>
        <v>0.96960000000000002</v>
      </c>
      <c r="AR16" s="145">
        <f t="shared" si="3"/>
        <v>0.62921000000000005</v>
      </c>
      <c r="AS16" s="130"/>
    </row>
    <row r="17" spans="1:45" s="131" customFormat="1" ht="15.75" x14ac:dyDescent="0.25">
      <c r="A17" s="66">
        <v>9</v>
      </c>
      <c r="B17" s="18"/>
      <c r="C17" s="143">
        <f>ИНП2023!C17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6"/>
        <v>0</v>
      </c>
      <c r="J17" s="132"/>
      <c r="K17" s="132"/>
      <c r="L17" s="59">
        <f t="shared" si="17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7"/>
        <v>0</v>
      </c>
      <c r="S17" s="78"/>
      <c r="T17" s="59">
        <f t="shared" si="8"/>
        <v>0</v>
      </c>
      <c r="U17" s="78"/>
      <c r="V17" s="59">
        <f t="shared" si="9"/>
        <v>0</v>
      </c>
      <c r="W17" s="78"/>
      <c r="X17" s="59">
        <f t="shared" si="10"/>
        <v>0</v>
      </c>
      <c r="Y17" s="156"/>
      <c r="Z17" s="59">
        <f t="shared" si="11"/>
        <v>0</v>
      </c>
      <c r="AA17" s="78"/>
      <c r="AB17" s="59">
        <f t="shared" si="12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3"/>
        <v>0</v>
      </c>
      <c r="AJ17" s="70"/>
      <c r="AK17" s="78"/>
      <c r="AL17" s="59">
        <f t="shared" si="14"/>
        <v>0</v>
      </c>
      <c r="AM17" s="64"/>
      <c r="AN17" s="64"/>
      <c r="AO17" s="59">
        <f t="shared" si="18"/>
        <v>0</v>
      </c>
      <c r="AP17" s="61">
        <f t="shared" si="15"/>
        <v>0</v>
      </c>
      <c r="AQ17" s="144" t="e">
        <f t="shared" si="2"/>
        <v>#DIV/0!</v>
      </c>
      <c r="AR17" s="145" t="e">
        <f t="shared" si="3"/>
        <v>#DIV/0!</v>
      </c>
      <c r="AS17" s="130"/>
    </row>
    <row r="18" spans="1:45" s="131" customFormat="1" ht="15.75" x14ac:dyDescent="0.25">
      <c r="A18" s="66">
        <v>10</v>
      </c>
      <c r="B18" s="18"/>
      <c r="C18" s="143">
        <f>ИНП2023!C18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6"/>
        <v>0</v>
      </c>
      <c r="J18" s="132"/>
      <c r="K18" s="132"/>
      <c r="L18" s="59">
        <f t="shared" si="17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7"/>
        <v>0</v>
      </c>
      <c r="S18" s="78"/>
      <c r="T18" s="59">
        <f t="shared" si="8"/>
        <v>0</v>
      </c>
      <c r="U18" s="78"/>
      <c r="V18" s="59">
        <f t="shared" si="9"/>
        <v>0</v>
      </c>
      <c r="W18" s="78"/>
      <c r="X18" s="59">
        <f t="shared" si="10"/>
        <v>0</v>
      </c>
      <c r="Y18" s="156"/>
      <c r="Z18" s="59">
        <f t="shared" si="11"/>
        <v>0</v>
      </c>
      <c r="AA18" s="78"/>
      <c r="AB18" s="59">
        <f t="shared" si="12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3"/>
        <v>0</v>
      </c>
      <c r="AJ18" s="70"/>
      <c r="AK18" s="78"/>
      <c r="AL18" s="59">
        <f t="shared" si="14"/>
        <v>0</v>
      </c>
      <c r="AM18" s="64"/>
      <c r="AN18" s="64"/>
      <c r="AO18" s="59">
        <f t="shared" si="18"/>
        <v>0</v>
      </c>
      <c r="AP18" s="61">
        <f t="shared" si="15"/>
        <v>0</v>
      </c>
      <c r="AQ18" s="144" t="e">
        <f t="shared" si="2"/>
        <v>#DIV/0!</v>
      </c>
      <c r="AR18" s="145" t="e">
        <f t="shared" si="3"/>
        <v>#DIV/0!</v>
      </c>
      <c r="AS18" s="130"/>
    </row>
    <row r="19" spans="1:45" s="131" customFormat="1" ht="15.75" x14ac:dyDescent="0.25">
      <c r="A19" s="66">
        <v>11</v>
      </c>
      <c r="B19" s="18"/>
      <c r="C19" s="143">
        <f>ИНП2023!C19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6"/>
        <v>0</v>
      </c>
      <c r="J19" s="132"/>
      <c r="K19" s="132"/>
      <c r="L19" s="59">
        <f t="shared" si="17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7"/>
        <v>0</v>
      </c>
      <c r="S19" s="78"/>
      <c r="T19" s="59">
        <f t="shared" si="8"/>
        <v>0</v>
      </c>
      <c r="U19" s="78"/>
      <c r="V19" s="59">
        <f t="shared" si="9"/>
        <v>0</v>
      </c>
      <c r="W19" s="78"/>
      <c r="X19" s="59">
        <f t="shared" si="10"/>
        <v>0</v>
      </c>
      <c r="Y19" s="156"/>
      <c r="Z19" s="59">
        <f t="shared" si="11"/>
        <v>0</v>
      </c>
      <c r="AA19" s="78"/>
      <c r="AB19" s="59">
        <f t="shared" si="12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3"/>
        <v>0</v>
      </c>
      <c r="AJ19" s="70"/>
      <c r="AK19" s="78"/>
      <c r="AL19" s="59">
        <f t="shared" si="14"/>
        <v>0</v>
      </c>
      <c r="AM19" s="64"/>
      <c r="AN19" s="64"/>
      <c r="AO19" s="59">
        <f t="shared" si="18"/>
        <v>0</v>
      </c>
      <c r="AP19" s="61">
        <f t="shared" si="15"/>
        <v>0</v>
      </c>
      <c r="AQ19" s="144" t="e">
        <f t="shared" si="2"/>
        <v>#DIV/0!</v>
      </c>
      <c r="AR19" s="145" t="e">
        <f t="shared" si="3"/>
        <v>#DIV/0!</v>
      </c>
      <c r="AS19" s="130"/>
    </row>
    <row r="20" spans="1:45" ht="15.75" x14ac:dyDescent="0.25">
      <c r="A20" s="171" t="s">
        <v>0</v>
      </c>
      <c r="B20" s="171"/>
      <c r="C20" s="146">
        <f>SUM(C9:C19)</f>
        <v>33318</v>
      </c>
      <c r="D20" s="147" t="s">
        <v>81</v>
      </c>
      <c r="E20" s="153">
        <f>SUM(E9:E19)</f>
        <v>12754.016000000001</v>
      </c>
      <c r="F20" s="148">
        <f>SUM(F9:F19)</f>
        <v>0</v>
      </c>
      <c r="G20" s="148">
        <f>SUM(G9:G19)</f>
        <v>0</v>
      </c>
      <c r="H20" s="147" t="s">
        <v>81</v>
      </c>
      <c r="I20" s="153">
        <f>SUM(I9:I19)</f>
        <v>21344.740400000002</v>
      </c>
      <c r="J20" s="148">
        <f>SUM(J9:J19)</f>
        <v>0</v>
      </c>
      <c r="K20" s="149" t="s">
        <v>7</v>
      </c>
      <c r="L20" s="153">
        <f>SUM(L9:L19)</f>
        <v>308.62619999999998</v>
      </c>
      <c r="M20" s="149" t="s">
        <v>7</v>
      </c>
      <c r="N20" s="153">
        <f t="shared" ref="N20:P20" si="20">SUM(N9:N19)</f>
        <v>38.102000000000004</v>
      </c>
      <c r="O20" s="149" t="s">
        <v>7</v>
      </c>
      <c r="P20" s="153">
        <f t="shared" si="20"/>
        <v>0</v>
      </c>
      <c r="Q20" s="149" t="s">
        <v>7</v>
      </c>
      <c r="R20" s="153">
        <f t="shared" ref="R20" si="21">SUM(R9:R19)</f>
        <v>2160.0713000000001</v>
      </c>
      <c r="S20" s="149" t="s">
        <v>7</v>
      </c>
      <c r="T20" s="153">
        <f t="shared" ref="T20" si="22">SUM(T9:T19)</f>
        <v>24.911999999999999</v>
      </c>
      <c r="U20" s="149" t="s">
        <v>7</v>
      </c>
      <c r="V20" s="153">
        <f t="shared" ref="V20" si="23">SUM(V9:V19)</f>
        <v>0</v>
      </c>
      <c r="W20" s="149" t="s">
        <v>7</v>
      </c>
      <c r="X20" s="153">
        <f t="shared" ref="X20" si="24">SUM(X9:X19)</f>
        <v>266.20159999999998</v>
      </c>
      <c r="Y20" s="149" t="s">
        <v>7</v>
      </c>
      <c r="Z20" s="153">
        <f t="shared" ref="Z20" si="25">SUM(Z9:Z19)</f>
        <v>5396.2703999999994</v>
      </c>
      <c r="AA20" s="149" t="s">
        <v>7</v>
      </c>
      <c r="AB20" s="153">
        <f t="shared" ref="AB20" si="26">SUM(AB9:AB19)</f>
        <v>8301.304900000001</v>
      </c>
      <c r="AC20" s="149" t="s">
        <v>7</v>
      </c>
      <c r="AD20" s="153">
        <f t="shared" ref="AD20" si="27">SUM(AD9:AD19)</f>
        <v>51.437700000000007</v>
      </c>
      <c r="AE20" s="153">
        <f t="shared" ref="AE20" si="28">SUM(AE9:AE19)</f>
        <v>0</v>
      </c>
      <c r="AF20" s="153">
        <f t="shared" ref="AF20" si="29">SUM(AF9:AF19)</f>
        <v>0</v>
      </c>
      <c r="AG20" s="146">
        <f>SUM(AG9:AG19)</f>
        <v>0</v>
      </c>
      <c r="AH20" s="149" t="s">
        <v>7</v>
      </c>
      <c r="AI20" s="153">
        <f t="shared" ref="AI20" si="30">SUM(AI9:AI19)</f>
        <v>489.35809999999998</v>
      </c>
      <c r="AJ20" s="146">
        <f>SUM(AJ9:AJ19)</f>
        <v>0</v>
      </c>
      <c r="AK20" s="149" t="s">
        <v>7</v>
      </c>
      <c r="AL20" s="153">
        <f t="shared" ref="AL20" si="31">SUM(AL9:AL19)</f>
        <v>0</v>
      </c>
      <c r="AM20" s="149" t="s">
        <v>7</v>
      </c>
      <c r="AN20" s="147" t="s">
        <v>81</v>
      </c>
      <c r="AO20" s="153">
        <f>SUM(AO9:AO19)</f>
        <v>207.6559</v>
      </c>
      <c r="AP20" s="153">
        <f>SUM(AP9:AP19)</f>
        <v>51342.696499999998</v>
      </c>
      <c r="AQ20" s="150" t="e">
        <f>SUM(AQ9:AQ19)</f>
        <v>#DIV/0!</v>
      </c>
      <c r="AR20" s="15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1" t="s">
        <v>1</v>
      </c>
      <c r="B27" s="191" t="s">
        <v>2</v>
      </c>
      <c r="C27" s="175" t="s">
        <v>84</v>
      </c>
      <c r="D27" s="168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68" t="s">
        <v>53</v>
      </c>
      <c r="U27" s="122"/>
      <c r="V27" s="175" t="s">
        <v>54</v>
      </c>
      <c r="W27" s="168" t="s">
        <v>55</v>
      </c>
      <c r="X27" s="175" t="s">
        <v>56</v>
      </c>
      <c r="Y27" s="168" t="s">
        <v>57</v>
      </c>
      <c r="Z27" s="175" t="s">
        <v>58</v>
      </c>
      <c r="AA27" s="176"/>
      <c r="AB27" s="176"/>
      <c r="AC27" s="185" t="s">
        <v>59</v>
      </c>
      <c r="AD27" s="168" t="s">
        <v>60</v>
      </c>
      <c r="AE27" s="168" t="s">
        <v>60</v>
      </c>
      <c r="AF27" s="168" t="s">
        <v>60</v>
      </c>
      <c r="AG27" s="168" t="s">
        <v>59</v>
      </c>
      <c r="AH27" s="122"/>
      <c r="AI27" s="168" t="s">
        <v>60</v>
      </c>
      <c r="AJ27" s="168" t="s">
        <v>59</v>
      </c>
      <c r="AK27" s="122"/>
      <c r="AL27" s="168" t="s">
        <v>60</v>
      </c>
      <c r="AM27" s="168" t="s">
        <v>85</v>
      </c>
      <c r="AN27" s="175" t="s">
        <v>86</v>
      </c>
      <c r="AO27" s="168" t="s">
        <v>61</v>
      </c>
    </row>
    <row r="28" spans="1:45" ht="12.75" hidden="1" customHeight="1" x14ac:dyDescent="0.2">
      <c r="A28" s="192"/>
      <c r="B28" s="194"/>
      <c r="C28" s="175"/>
      <c r="D28" s="168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68"/>
      <c r="U28" s="122"/>
      <c r="V28" s="175"/>
      <c r="W28" s="168"/>
      <c r="X28" s="175"/>
      <c r="Y28" s="168"/>
      <c r="Z28" s="175"/>
      <c r="AA28" s="177"/>
      <c r="AB28" s="177"/>
      <c r="AC28" s="186"/>
      <c r="AD28" s="168"/>
      <c r="AE28" s="168"/>
      <c r="AF28" s="168"/>
      <c r="AG28" s="168"/>
      <c r="AH28" s="122"/>
      <c r="AI28" s="168"/>
      <c r="AJ28" s="168"/>
      <c r="AK28" s="122"/>
      <c r="AL28" s="168"/>
      <c r="AM28" s="168"/>
      <c r="AN28" s="175"/>
      <c r="AO28" s="168"/>
    </row>
    <row r="29" spans="1:45" ht="34.5" hidden="1" customHeight="1" x14ac:dyDescent="0.2">
      <c r="A29" s="193"/>
      <c r="B29" s="193"/>
      <c r="C29" s="175"/>
      <c r="D29" s="168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68"/>
      <c r="U29" s="122"/>
      <c r="V29" s="175"/>
      <c r="W29" s="168"/>
      <c r="X29" s="175"/>
      <c r="Y29" s="168"/>
      <c r="Z29" s="175"/>
      <c r="AA29" s="178"/>
      <c r="AB29" s="178"/>
      <c r="AC29" s="187"/>
      <c r="AD29" s="168"/>
      <c r="AE29" s="168"/>
      <c r="AF29" s="168"/>
      <c r="AG29" s="168"/>
      <c r="AH29" s="122"/>
      <c r="AI29" s="168"/>
      <c r="AJ29" s="168"/>
      <c r="AK29" s="122"/>
      <c r="AL29" s="168"/>
      <c r="AM29" s="168"/>
      <c r="AN29" s="175"/>
      <c r="AO29" s="168"/>
    </row>
    <row r="30" spans="1:45" ht="14.25" hidden="1" customHeight="1" thickBot="1" x14ac:dyDescent="0.25">
      <c r="A30" s="179" t="s">
        <v>65</v>
      </c>
      <c r="B30" s="180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1"/>
      <c r="B31" s="182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3" t="s">
        <v>0</v>
      </c>
      <c r="B51" s="184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2023</vt:lpstr>
      <vt:lpstr>ИНП2023</vt:lpstr>
      <vt:lpstr>ИБР2023</vt:lpstr>
      <vt:lpstr>ИБР2023!Заголовки_для_печати</vt:lpstr>
      <vt:lpstr>ИНП2023!Заголовки_для_печати</vt:lpstr>
      <vt:lpstr>'Регион ФФПП 2023'!Заголовки_для_печати</vt:lpstr>
      <vt:lpstr>ИБР2023!Область_печати</vt:lpstr>
      <vt:lpstr>ИНП2023!Область_печати</vt:lpstr>
      <vt:lpstr>'Регион ФФПП 2023'!Область_печати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2019-11-15T07:50:43Z</cp:lastPrinted>
  <dcterms:created xsi:type="dcterms:W3CDTF">1996-11-09T08:12:45Z</dcterms:created>
  <dcterms:modified xsi:type="dcterms:W3CDTF">2021-11-01T15:34:01Z</dcterms:modified>
</cp:coreProperties>
</file>